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9155" windowHeight="12300" tabRatio="212" activeTab="1"/>
  </bookViews>
  <sheets>
    <sheet name="Example 6-3" sheetId="1" r:id="rId1"/>
    <sheet name="Example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2" i="2"/>
  <c r="E52" s="1"/>
  <c r="D51"/>
  <c r="E51" s="1"/>
  <c r="D50"/>
  <c r="E50" s="1"/>
  <c r="D43"/>
  <c r="D42"/>
  <c r="D41"/>
  <c r="D36"/>
  <c r="F36" s="1"/>
  <c r="F41" s="1"/>
  <c r="D35"/>
  <c r="F35" s="1"/>
  <c r="D34"/>
  <c r="F34" s="1"/>
  <c r="D33"/>
  <c r="D37" s="1"/>
  <c r="F37" s="1"/>
  <c r="F43" s="1"/>
  <c r="F28"/>
  <c r="F42" l="1"/>
  <c r="D44"/>
  <c r="F44"/>
  <c r="F45" s="1"/>
  <c r="D38"/>
  <c r="F33"/>
  <c r="F38" s="1"/>
  <c r="E51" i="1" l="1"/>
  <c r="E52"/>
  <c r="D52"/>
  <c r="D51"/>
  <c r="D50"/>
  <c r="E50" s="1"/>
  <c r="F28"/>
  <c r="D44"/>
  <c r="D43"/>
  <c r="D42"/>
  <c r="D41"/>
  <c r="F41" s="1"/>
  <c r="F34"/>
  <c r="D36"/>
  <c r="F36" s="1"/>
  <c r="D35"/>
  <c r="F35" s="1"/>
  <c r="F44" s="1"/>
  <c r="D34"/>
  <c r="D33"/>
  <c r="F33" s="1"/>
  <c r="D38" l="1"/>
  <c r="F43"/>
  <c r="F45" s="1"/>
  <c r="F38"/>
  <c r="D37"/>
  <c r="F37" s="1"/>
  <c r="F42"/>
</calcChain>
</file>

<file path=xl/sharedStrings.xml><?xml version="1.0" encoding="utf-8"?>
<sst xmlns="http://schemas.openxmlformats.org/spreadsheetml/2006/main" count="104" uniqueCount="46">
  <si>
    <t>Feed rate =</t>
  </si>
  <si>
    <t>wt%</t>
  </si>
  <si>
    <t>Products yield</t>
  </si>
  <si>
    <t>lb/h</t>
  </si>
  <si>
    <t>Gas</t>
  </si>
  <si>
    <t>Gas oil</t>
  </si>
  <si>
    <t xml:space="preserve">                                                                                         </t>
  </si>
  <si>
    <t>Visbreaking Material Balance by A. K. Coker</t>
  </si>
  <si>
    <t>Gas wt % = 0.18925 x % Conv + 0.677163</t>
  </si>
  <si>
    <t>Gasoline,  wt %= 0.73821x % Conv+0.260174</t>
  </si>
  <si>
    <t>Gravity of  visbreaking products:</t>
  </si>
  <si>
    <t>Sulfur in visbreaker products:</t>
  </si>
  <si>
    <t>Gasoline</t>
  </si>
  <si>
    <t>Residue</t>
  </si>
  <si>
    <t>Sulfur in visbreaker products</t>
  </si>
  <si>
    <t>S in Gasoline</t>
  </si>
  <si>
    <t>S in Gas oil</t>
  </si>
  <si>
    <t>S in Residue</t>
  </si>
  <si>
    <t>Gravity of visbreaking products</t>
  </si>
  <si>
    <t>API</t>
  </si>
  <si>
    <t>SG</t>
  </si>
  <si>
    <t>Resid</t>
  </si>
  <si>
    <t>A vacuum residue is fed into a coil visbreaker at a rate of 200,000 lb/h. It has an API = 8.5</t>
  </si>
  <si>
    <t>and sulfur content of 3 wt%.  Assume 6 wt % conversion.  Make a material balance for the visbreaker.</t>
  </si>
  <si>
    <t>Rate of Sulfur</t>
  </si>
  <si>
    <t>in the feed</t>
  </si>
  <si>
    <t>A vacuum residue is fed into a coil visbreaker at a rate of 350,000 lb/h. It has an API = 8.5</t>
  </si>
  <si>
    <r>
      <t>Residue, wt %= -0.146668 x % Conv</t>
    </r>
    <r>
      <rPr>
        <vertAlign val="super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 - 2.203644 x %Conv + 98.677947</t>
    </r>
  </si>
  <si>
    <r>
      <t>H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S in Gas, wt % = 0.02023 x % Conv + 0.06043 x wt % S - 0.156</t>
    </r>
  </si>
  <si>
    <r>
      <t>Gas oil, wt % = 100 - Gas - Gasoline - Residue - H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S</t>
    </r>
  </si>
  <si>
    <r>
      <t>S in H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S = H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S in gas x (32/34)</t>
    </r>
  </si>
  <si>
    <r>
      <t>wt % S in Gasoline = 0.260112 x wt % S</t>
    </r>
    <r>
      <rPr>
        <vertAlign val="subscript"/>
        <sz val="14"/>
        <color theme="1"/>
        <rFont val="Times New Roman"/>
        <family val="1"/>
      </rPr>
      <t>f</t>
    </r>
  </si>
  <si>
    <r>
      <t>wt % S in GO = 0.539924  x wt % S</t>
    </r>
    <r>
      <rPr>
        <vertAlign val="subscript"/>
        <sz val="14"/>
        <color theme="1"/>
        <rFont val="Times New Roman"/>
        <family val="1"/>
      </rPr>
      <t>f</t>
    </r>
  </si>
  <si>
    <r>
      <t>S in Residue = S in Feed - S in gasoline - S in GO - S in H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S</t>
    </r>
  </si>
  <si>
    <r>
      <t>Gasoline = - 0.26215 x % Conv + 0.315121 x API</t>
    </r>
    <r>
      <rPr>
        <vertAlign val="subscript"/>
        <sz val="14"/>
        <color theme="1"/>
        <rFont val="Times New Roman"/>
        <family val="1"/>
      </rPr>
      <t>f</t>
    </r>
    <r>
      <rPr>
        <sz val="14"/>
        <color theme="1"/>
        <rFont val="Times New Roman"/>
        <family val="1"/>
      </rPr>
      <t xml:space="preserve"> + 56.83723</t>
    </r>
  </si>
  <si>
    <r>
      <t>Gas oil = -0.052919 x % Conv + 0.52228042 x API</t>
    </r>
    <r>
      <rPr>
        <vertAlign val="subscript"/>
        <sz val="14"/>
        <color theme="1"/>
        <rFont val="Times New Roman"/>
        <family val="1"/>
      </rPr>
      <t>f</t>
    </r>
    <r>
      <rPr>
        <sz val="14"/>
        <color theme="1"/>
        <rFont val="Times New Roman"/>
        <family val="1"/>
      </rPr>
      <t xml:space="preserve"> + 12.9318914</t>
    </r>
  </si>
  <si>
    <r>
      <t>Residue = -0.7462183 x % Conv + 1.29138125 x API</t>
    </r>
    <r>
      <rPr>
        <vertAlign val="subscript"/>
        <sz val="14"/>
        <color theme="1"/>
        <rFont val="Times New Roman"/>
        <family val="1"/>
      </rPr>
      <t>f</t>
    </r>
    <r>
      <rPr>
        <sz val="14"/>
        <color theme="1"/>
        <rFont val="Times New Roman"/>
        <family val="1"/>
      </rPr>
      <t xml:space="preserve"> - 2.6831388</t>
    </r>
  </si>
  <si>
    <r>
      <t>S</t>
    </r>
    <r>
      <rPr>
        <vertAlign val="subscript"/>
        <sz val="14"/>
        <color theme="1"/>
        <rFont val="Times New Roman"/>
        <family val="1"/>
      </rPr>
      <t>f</t>
    </r>
    <r>
      <rPr>
        <sz val="14"/>
        <color theme="1"/>
        <rFont val="Times New Roman"/>
        <family val="1"/>
      </rPr>
      <t>=</t>
    </r>
  </si>
  <si>
    <r>
      <t>S</t>
    </r>
    <r>
      <rPr>
        <vertAlign val="subscript"/>
        <sz val="14"/>
        <color theme="1"/>
        <rFont val="Times New Roman"/>
        <family val="1"/>
      </rPr>
      <t>f</t>
    </r>
    <r>
      <rPr>
        <sz val="14"/>
        <color theme="1"/>
        <rFont val="Times New Roman"/>
        <family val="1"/>
      </rPr>
      <t xml:space="preserve"> = Sulfur content in the feed</t>
    </r>
  </si>
  <si>
    <r>
      <t>API</t>
    </r>
    <r>
      <rPr>
        <vertAlign val="subscript"/>
        <sz val="14"/>
        <color theme="1"/>
        <rFont val="Times New Roman"/>
        <family val="1"/>
      </rPr>
      <t>f</t>
    </r>
    <r>
      <rPr>
        <sz val="14"/>
        <color theme="1"/>
        <rFont val="Times New Roman"/>
        <family val="1"/>
      </rPr>
      <t xml:space="preserve"> =</t>
    </r>
  </si>
  <si>
    <r>
      <t>API</t>
    </r>
    <r>
      <rPr>
        <vertAlign val="subscript"/>
        <sz val="14"/>
        <color theme="1"/>
        <rFont val="Times New Roman"/>
        <family val="1"/>
      </rPr>
      <t xml:space="preserve">f </t>
    </r>
    <r>
      <rPr>
        <sz val="14"/>
        <color theme="1"/>
        <rFont val="Times New Roman"/>
        <family val="1"/>
      </rPr>
      <t>= Feed API gravity</t>
    </r>
  </si>
  <si>
    <r>
      <t>S in H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S</t>
    </r>
  </si>
  <si>
    <r>
      <t>H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S</t>
    </r>
  </si>
  <si>
    <t>Visbreaking</t>
  </si>
  <si>
    <t>Conv=</t>
  </si>
  <si>
    <t>Conversion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</si>
</sst>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opLeftCell="A37" zoomScale="140" zoomScaleNormal="140" workbookViewId="0">
      <selection activeCell="K58" sqref="K58"/>
    </sheetView>
  </sheetViews>
  <sheetFormatPr defaultRowHeight="15"/>
  <cols>
    <col min="4" max="4" width="13.28515625" customWidth="1"/>
    <col min="5" max="5" width="15.7109375" customWidth="1"/>
    <col min="6" max="6" width="10.28515625" bestFit="1" customWidth="1"/>
    <col min="9" max="9" width="12.28515625" customWidth="1"/>
    <col min="10" max="10" width="12.140625" customWidth="1"/>
    <col min="11" max="11" width="10.85546875" customWidth="1"/>
  </cols>
  <sheetData>
    <row r="1" spans="1:12" ht="18.75">
      <c r="A1" s="1" t="s">
        <v>7</v>
      </c>
      <c r="B1" s="1"/>
      <c r="C1" s="1"/>
      <c r="D1" s="1"/>
      <c r="E1" s="1"/>
      <c r="F1" s="1"/>
      <c r="G1" s="1"/>
      <c r="H1" s="1"/>
      <c r="I1" s="1"/>
      <c r="J1" s="4"/>
      <c r="K1" s="4"/>
      <c r="L1" s="4"/>
    </row>
    <row r="2" spans="1:12" ht="18.75">
      <c r="A2" s="1" t="s">
        <v>26</v>
      </c>
      <c r="B2" s="1"/>
      <c r="C2" s="1"/>
      <c r="D2" s="1"/>
      <c r="E2" s="1"/>
      <c r="F2" s="1"/>
      <c r="G2" s="1"/>
      <c r="H2" s="1"/>
      <c r="I2" s="1"/>
      <c r="J2" s="4"/>
      <c r="K2" s="4"/>
      <c r="L2" s="4"/>
    </row>
    <row r="3" spans="1:12" ht="18.75">
      <c r="A3" s="1" t="s">
        <v>23</v>
      </c>
      <c r="B3" s="1"/>
      <c r="C3" s="1"/>
      <c r="D3" s="1"/>
      <c r="E3" s="1"/>
      <c r="F3" s="1"/>
      <c r="G3" s="1"/>
      <c r="H3" s="1"/>
      <c r="I3" s="1"/>
      <c r="J3" s="4"/>
      <c r="K3" s="4"/>
      <c r="L3" s="4"/>
    </row>
    <row r="4" spans="1:12" ht="18.75">
      <c r="A4" s="1"/>
      <c r="B4" s="1"/>
      <c r="C4" s="1"/>
      <c r="D4" s="1"/>
      <c r="E4" s="1"/>
      <c r="F4" s="1"/>
      <c r="G4" s="1"/>
      <c r="H4" s="1"/>
      <c r="I4" s="1"/>
      <c r="J4" s="4"/>
      <c r="K4" s="4"/>
      <c r="L4" s="4"/>
    </row>
    <row r="5" spans="1:12" ht="18.75">
      <c r="A5" s="1" t="s">
        <v>8</v>
      </c>
      <c r="B5" s="1"/>
      <c r="C5" s="1"/>
      <c r="D5" s="1"/>
      <c r="E5" s="1"/>
      <c r="F5" s="1"/>
      <c r="G5" s="1"/>
      <c r="H5" s="1"/>
      <c r="I5" s="1"/>
      <c r="J5" s="4"/>
      <c r="K5" s="4"/>
      <c r="L5" s="4"/>
    </row>
    <row r="6" spans="1:12" ht="18.75">
      <c r="A6" s="1" t="s">
        <v>9</v>
      </c>
      <c r="B6" s="1"/>
      <c r="C6" s="1"/>
      <c r="D6" s="1"/>
      <c r="E6" s="1"/>
      <c r="F6" s="1"/>
      <c r="G6" s="1"/>
      <c r="H6" s="1"/>
      <c r="I6" s="1"/>
      <c r="J6" s="4"/>
      <c r="K6" s="4"/>
      <c r="L6" s="4"/>
    </row>
    <row r="7" spans="1:12" ht="22.5">
      <c r="A7" s="1" t="s">
        <v>27</v>
      </c>
      <c r="B7" s="1"/>
      <c r="C7" s="1"/>
      <c r="D7" s="1"/>
      <c r="E7" s="1"/>
      <c r="F7" s="1"/>
      <c r="G7" s="1"/>
      <c r="H7" s="1"/>
      <c r="I7" s="1"/>
      <c r="J7" s="4"/>
      <c r="K7" s="4"/>
      <c r="L7" s="4"/>
    </row>
    <row r="8" spans="1:12" ht="20.25">
      <c r="A8" s="1" t="s">
        <v>28</v>
      </c>
      <c r="B8" s="1"/>
      <c r="C8" s="1"/>
      <c r="D8" s="1"/>
      <c r="E8" s="1"/>
      <c r="F8" s="1"/>
      <c r="G8" s="1"/>
      <c r="H8" s="1"/>
      <c r="I8" s="1"/>
      <c r="J8" s="4"/>
      <c r="K8" s="4"/>
      <c r="L8" s="4"/>
    </row>
    <row r="9" spans="1:12" ht="20.25">
      <c r="A9" s="1" t="s">
        <v>29</v>
      </c>
      <c r="B9" s="1"/>
      <c r="C9" s="1"/>
      <c r="D9" s="1"/>
      <c r="E9" s="1"/>
      <c r="F9" s="1"/>
      <c r="G9" s="1"/>
      <c r="H9" s="1"/>
      <c r="I9" s="1"/>
      <c r="J9" s="4"/>
      <c r="K9" s="4"/>
      <c r="L9" s="4"/>
    </row>
    <row r="10" spans="1:12" ht="18.75">
      <c r="A10" s="1"/>
      <c r="B10" s="1"/>
      <c r="C10" s="1"/>
      <c r="D10" s="1"/>
      <c r="E10" s="1"/>
      <c r="F10" s="1"/>
      <c r="G10" s="1"/>
      <c r="H10" s="1"/>
      <c r="I10" s="1"/>
      <c r="J10" s="4"/>
      <c r="K10" s="4"/>
      <c r="L10" s="4"/>
    </row>
    <row r="11" spans="1:12" ht="18.75">
      <c r="A11" s="1" t="s">
        <v>11</v>
      </c>
      <c r="B11" s="1"/>
      <c r="C11" s="1"/>
      <c r="D11" s="1"/>
      <c r="E11" s="1"/>
      <c r="F11" s="1"/>
      <c r="G11" s="1"/>
      <c r="H11" s="1"/>
      <c r="I11" s="1"/>
      <c r="J11" s="4"/>
      <c r="K11" s="4"/>
      <c r="L11" s="4"/>
    </row>
    <row r="12" spans="1:12" ht="20.25">
      <c r="A12" s="1" t="s">
        <v>30</v>
      </c>
      <c r="B12" s="1"/>
      <c r="C12" s="1"/>
      <c r="D12" s="1"/>
      <c r="E12" s="1"/>
      <c r="F12" s="1"/>
      <c r="G12" s="1"/>
      <c r="H12" s="1"/>
      <c r="I12" s="1"/>
      <c r="J12" s="4"/>
      <c r="K12" s="4"/>
      <c r="L12" s="4"/>
    </row>
    <row r="13" spans="1:12" ht="20.25">
      <c r="A13" s="1" t="s">
        <v>31</v>
      </c>
      <c r="B13" s="1"/>
      <c r="C13" s="1"/>
      <c r="D13" s="1"/>
      <c r="E13" s="1"/>
      <c r="F13" s="1"/>
      <c r="G13" s="1"/>
      <c r="H13" s="1"/>
      <c r="I13" s="1"/>
      <c r="J13" s="4"/>
      <c r="K13" s="4"/>
      <c r="L13" s="4"/>
    </row>
    <row r="14" spans="1:12" ht="20.25">
      <c r="A14" s="1" t="s">
        <v>32</v>
      </c>
      <c r="B14" s="1"/>
      <c r="C14" s="1"/>
      <c r="D14" s="1"/>
      <c r="E14" s="1"/>
      <c r="F14" s="1"/>
      <c r="G14" s="1"/>
      <c r="H14" s="1"/>
      <c r="I14" s="1"/>
      <c r="J14" s="4"/>
      <c r="K14" s="4"/>
      <c r="L14" s="4"/>
    </row>
    <row r="15" spans="1:12" ht="20.25">
      <c r="A15" s="1" t="s">
        <v>33</v>
      </c>
      <c r="B15" s="1"/>
      <c r="C15" s="1"/>
      <c r="D15" s="1"/>
      <c r="E15" s="1"/>
      <c r="F15" s="1"/>
      <c r="G15" s="1"/>
      <c r="H15" s="1"/>
      <c r="I15" s="1"/>
      <c r="J15" s="4"/>
      <c r="K15" s="4"/>
      <c r="L15" s="4"/>
    </row>
    <row r="16" spans="1:12" ht="18.75">
      <c r="A16" s="1"/>
      <c r="B16" s="1"/>
      <c r="C16" s="1"/>
      <c r="D16" s="1"/>
      <c r="E16" s="1"/>
      <c r="F16" s="1"/>
      <c r="G16" s="1"/>
      <c r="H16" s="1"/>
      <c r="I16" s="1"/>
      <c r="J16" s="4"/>
      <c r="K16" s="4"/>
      <c r="L16" s="4"/>
    </row>
    <row r="17" spans="1:12" ht="18.75">
      <c r="A17" s="1" t="s">
        <v>10</v>
      </c>
      <c r="B17" s="1"/>
      <c r="C17" s="1"/>
      <c r="D17" s="1"/>
      <c r="E17" s="1"/>
      <c r="F17" s="1"/>
      <c r="G17" s="1"/>
      <c r="H17" s="1"/>
      <c r="I17" s="1"/>
      <c r="J17" s="4"/>
      <c r="K17" s="4"/>
      <c r="L17" s="4"/>
    </row>
    <row r="18" spans="1:12" ht="20.25">
      <c r="A18" s="1" t="s">
        <v>34</v>
      </c>
      <c r="B18" s="1"/>
      <c r="C18" s="1"/>
      <c r="D18" s="1"/>
      <c r="E18" s="1"/>
      <c r="F18" s="1"/>
      <c r="G18" s="1"/>
      <c r="H18" s="1"/>
      <c r="I18" s="1"/>
      <c r="J18" s="4"/>
      <c r="K18" s="4"/>
      <c r="L18" s="4"/>
    </row>
    <row r="19" spans="1:12" ht="20.25">
      <c r="A19" s="1" t="s">
        <v>35</v>
      </c>
      <c r="B19" s="1"/>
      <c r="C19" s="1"/>
      <c r="D19" s="1"/>
      <c r="E19" s="1"/>
      <c r="F19" s="1"/>
      <c r="G19" s="1"/>
      <c r="H19" s="1"/>
      <c r="I19" s="1"/>
      <c r="J19" s="4"/>
      <c r="K19" s="4"/>
      <c r="L19" s="4"/>
    </row>
    <row r="20" spans="1:12" ht="20.25">
      <c r="A20" s="1" t="s">
        <v>36</v>
      </c>
      <c r="B20" s="1"/>
      <c r="C20" s="1"/>
      <c r="D20" s="1"/>
      <c r="E20" s="1"/>
      <c r="F20" s="1"/>
      <c r="G20" s="1"/>
      <c r="H20" s="1"/>
      <c r="I20" s="1"/>
      <c r="J20" s="4"/>
      <c r="K20" s="4"/>
      <c r="L20" s="4"/>
    </row>
    <row r="21" spans="1:12" ht="18.75">
      <c r="A21" s="1"/>
      <c r="B21" s="1"/>
      <c r="C21" s="1"/>
      <c r="D21" s="1"/>
      <c r="E21" s="1"/>
      <c r="F21" s="1"/>
      <c r="G21" s="1"/>
      <c r="H21" s="1"/>
      <c r="I21" s="1"/>
      <c r="J21" s="4"/>
      <c r="K21" s="4"/>
      <c r="L21" s="4"/>
    </row>
    <row r="22" spans="1:12" ht="18.75">
      <c r="A22" s="1"/>
      <c r="B22" s="1"/>
      <c r="C22" s="1"/>
      <c r="D22" s="1"/>
      <c r="E22" s="1"/>
      <c r="F22" s="1"/>
      <c r="G22" s="1"/>
      <c r="H22" s="1"/>
      <c r="I22" s="1"/>
      <c r="J22" s="4"/>
      <c r="K22" s="4"/>
      <c r="L22" s="4"/>
    </row>
    <row r="23" spans="1:12" ht="18.75">
      <c r="A23" s="1"/>
      <c r="B23" s="1"/>
      <c r="C23" s="1"/>
      <c r="D23" s="1"/>
      <c r="E23" s="1" t="s">
        <v>0</v>
      </c>
      <c r="F23" s="1">
        <v>350000</v>
      </c>
      <c r="G23" s="1" t="s">
        <v>3</v>
      </c>
      <c r="H23" s="1"/>
      <c r="I23" s="1"/>
      <c r="J23" s="4"/>
      <c r="K23" s="4"/>
      <c r="L23" s="4"/>
    </row>
    <row r="24" spans="1:12" ht="18.75">
      <c r="A24" s="1"/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</row>
    <row r="25" spans="1:12" ht="20.25">
      <c r="A25" s="1"/>
      <c r="B25" s="1" t="s">
        <v>43</v>
      </c>
      <c r="C25" s="1"/>
      <c r="D25" s="1" t="s">
        <v>37</v>
      </c>
      <c r="E25" s="1">
        <v>3</v>
      </c>
      <c r="F25" s="1" t="s">
        <v>1</v>
      </c>
      <c r="G25" s="1"/>
      <c r="H25" s="1" t="s">
        <v>38</v>
      </c>
      <c r="I25" s="1"/>
      <c r="J25" s="4"/>
      <c r="K25" s="4"/>
      <c r="L25" s="4"/>
    </row>
    <row r="26" spans="1:12" ht="20.25">
      <c r="A26" s="1"/>
      <c r="B26" s="1"/>
      <c r="C26" s="1"/>
      <c r="D26" s="1" t="s">
        <v>39</v>
      </c>
      <c r="E26" s="1">
        <v>8.5</v>
      </c>
      <c r="F26" s="1"/>
      <c r="G26" s="1"/>
      <c r="H26" s="1" t="s">
        <v>40</v>
      </c>
      <c r="I26" s="1"/>
      <c r="J26" s="4"/>
      <c r="K26" s="4"/>
      <c r="L26" s="4"/>
    </row>
    <row r="27" spans="1:12" ht="18.75">
      <c r="A27" s="1"/>
      <c r="B27" s="1"/>
      <c r="C27" s="1"/>
      <c r="D27" s="1" t="s">
        <v>44</v>
      </c>
      <c r="E27" s="1">
        <v>6</v>
      </c>
      <c r="F27" s="1" t="s">
        <v>1</v>
      </c>
      <c r="G27" s="1"/>
      <c r="H27" s="1" t="s">
        <v>44</v>
      </c>
      <c r="I27" s="1" t="s">
        <v>45</v>
      </c>
      <c r="J27" s="1"/>
      <c r="K27" s="4"/>
      <c r="L27" s="4"/>
    </row>
    <row r="28" spans="1:12" ht="18.75">
      <c r="A28" s="1"/>
      <c r="B28" s="1"/>
      <c r="C28" s="1"/>
      <c r="D28" s="1" t="s">
        <v>6</v>
      </c>
      <c r="E28" s="1" t="s">
        <v>24</v>
      </c>
      <c r="F28" s="1">
        <f>E25*F23/100</f>
        <v>10500</v>
      </c>
      <c r="G28" s="1" t="s">
        <v>3</v>
      </c>
      <c r="H28" s="1"/>
      <c r="I28" s="1"/>
      <c r="J28" s="4"/>
      <c r="K28" s="4"/>
      <c r="L28" s="4"/>
    </row>
    <row r="29" spans="1:12" ht="18.75">
      <c r="A29" s="1"/>
      <c r="B29" s="1"/>
      <c r="C29" s="1"/>
      <c r="D29" s="1"/>
      <c r="E29" s="1" t="s">
        <v>25</v>
      </c>
      <c r="F29" s="1"/>
      <c r="G29" s="1"/>
      <c r="H29" s="1"/>
      <c r="I29" s="1"/>
      <c r="J29" s="4"/>
      <c r="K29" s="4"/>
      <c r="L29" s="4"/>
    </row>
    <row r="30" spans="1:12" ht="18.75">
      <c r="A30" s="1"/>
      <c r="B30" s="1"/>
      <c r="C30" s="1"/>
      <c r="D30" s="1"/>
      <c r="E30" s="1"/>
      <c r="F30" s="1"/>
      <c r="G30" s="1"/>
      <c r="H30" s="1"/>
      <c r="I30" s="1"/>
      <c r="J30" s="4"/>
      <c r="K30" s="4"/>
      <c r="L30" s="4"/>
    </row>
    <row r="31" spans="1:12" ht="18.75">
      <c r="A31" s="1" t="s">
        <v>2</v>
      </c>
      <c r="B31" s="1"/>
      <c r="C31" s="1"/>
      <c r="D31" s="3" t="s">
        <v>1</v>
      </c>
      <c r="E31" s="1"/>
      <c r="F31" s="3" t="s">
        <v>3</v>
      </c>
      <c r="G31" s="1"/>
      <c r="H31" s="1"/>
      <c r="I31" s="1"/>
      <c r="J31" s="4"/>
      <c r="K31" s="4"/>
      <c r="L31" s="4"/>
    </row>
    <row r="32" spans="1:12" ht="18.75">
      <c r="A32" s="1"/>
      <c r="B32" s="1"/>
      <c r="C32" s="1"/>
      <c r="D32" s="1"/>
      <c r="E32" s="1"/>
      <c r="F32" s="1"/>
      <c r="G32" s="1"/>
      <c r="H32" s="1"/>
      <c r="I32" s="1"/>
      <c r="J32" s="4"/>
      <c r="K32" s="4"/>
      <c r="L32" s="4"/>
    </row>
    <row r="33" spans="1:12" ht="18.75">
      <c r="A33" s="1" t="s">
        <v>4</v>
      </c>
      <c r="B33" s="1"/>
      <c r="C33" s="1"/>
      <c r="D33" s="1">
        <f>ROUND(0.189825*(E27)+0.677163,2)</f>
        <v>1.82</v>
      </c>
      <c r="E33" s="1"/>
      <c r="F33" s="1">
        <f>D33*F23/100</f>
        <v>6370</v>
      </c>
      <c r="G33" s="1"/>
      <c r="H33" s="1"/>
      <c r="I33" s="1"/>
      <c r="J33" s="4"/>
      <c r="K33" s="4"/>
      <c r="L33" s="4"/>
    </row>
    <row r="34" spans="1:12" ht="18.75">
      <c r="A34" s="1" t="s">
        <v>12</v>
      </c>
      <c r="B34" s="1"/>
      <c r="C34" s="1"/>
      <c r="D34" s="1">
        <f>ROUND(0.738321*E27+0.260174,2)</f>
        <v>4.6900000000000004</v>
      </c>
      <c r="E34" s="1"/>
      <c r="F34" s="1">
        <f>D34*F23/100</f>
        <v>16415.000000000004</v>
      </c>
      <c r="G34" s="1"/>
      <c r="H34" s="1"/>
      <c r="I34" s="1"/>
      <c r="J34" s="4"/>
      <c r="K34" s="4"/>
      <c r="L34" s="4"/>
    </row>
    <row r="35" spans="1:12" ht="18.75">
      <c r="A35" s="1" t="s">
        <v>13</v>
      </c>
      <c r="B35" s="1"/>
      <c r="C35" s="1"/>
      <c r="D35" s="1">
        <f>ROUND(-0.146668*E27^2-2.203644*E27+98.677947,2)</f>
        <v>80.180000000000007</v>
      </c>
      <c r="E35" s="1"/>
      <c r="F35" s="1">
        <f>D35*F23/100</f>
        <v>280630.00000000006</v>
      </c>
      <c r="G35" s="1"/>
      <c r="H35" s="1"/>
      <c r="I35" s="1"/>
      <c r="J35" s="4"/>
      <c r="K35" s="4"/>
      <c r="L35" s="4"/>
    </row>
    <row r="36" spans="1:12" ht="20.25">
      <c r="A36" s="1" t="s">
        <v>42</v>
      </c>
      <c r="B36" s="1"/>
      <c r="C36" s="1"/>
      <c r="D36" s="1">
        <f>ROUND(0.02023*E27+0.06043*E25-0.156,2)</f>
        <v>0.15</v>
      </c>
      <c r="E36" s="1"/>
      <c r="F36" s="1">
        <f>D36*F23/100</f>
        <v>525</v>
      </c>
      <c r="G36" s="1"/>
      <c r="H36" s="1"/>
      <c r="I36" s="1"/>
      <c r="J36" s="4"/>
      <c r="K36" s="4"/>
      <c r="L36" s="4"/>
    </row>
    <row r="37" spans="1:12" ht="18.75">
      <c r="A37" s="1" t="s">
        <v>5</v>
      </c>
      <c r="B37" s="1"/>
      <c r="C37" s="1"/>
      <c r="D37" s="1">
        <f>100-D33-D34-D35-D36</f>
        <v>13.160000000000002</v>
      </c>
      <c r="E37" s="1"/>
      <c r="F37" s="1">
        <f>D37*F23/100</f>
        <v>46060.000000000007</v>
      </c>
      <c r="G37" s="1"/>
      <c r="H37" s="1"/>
      <c r="I37" s="1"/>
      <c r="J37" s="4"/>
      <c r="K37" s="4"/>
      <c r="L37" s="4"/>
    </row>
    <row r="38" spans="1:12" ht="18.75">
      <c r="A38" s="1"/>
      <c r="B38" s="1"/>
      <c r="C38" s="1"/>
      <c r="D38" s="1">
        <f>SUM(D34:E37)</f>
        <v>98.18</v>
      </c>
      <c r="E38" s="1"/>
      <c r="F38" s="1">
        <f>SUM(F33:F37)</f>
        <v>350000.00000000006</v>
      </c>
      <c r="G38" s="1"/>
      <c r="H38" s="1"/>
      <c r="I38" s="1"/>
      <c r="J38" s="4"/>
      <c r="K38" s="4"/>
      <c r="L38" s="4"/>
    </row>
    <row r="39" spans="1:12" ht="18.75">
      <c r="A39" s="1"/>
      <c r="B39" s="1"/>
      <c r="C39" s="1"/>
      <c r="D39" s="1"/>
      <c r="E39" s="1"/>
      <c r="F39" s="1"/>
      <c r="G39" s="1"/>
      <c r="H39" s="1"/>
      <c r="I39" s="1"/>
      <c r="J39" s="4"/>
      <c r="K39" s="4"/>
      <c r="L39" s="4"/>
    </row>
    <row r="40" spans="1:12" ht="18.75">
      <c r="A40" s="1" t="s">
        <v>14</v>
      </c>
      <c r="B40" s="1"/>
      <c r="C40" s="1"/>
      <c r="D40" s="1"/>
      <c r="E40" s="1"/>
      <c r="F40" s="1"/>
      <c r="G40" s="1"/>
      <c r="H40" s="1"/>
      <c r="I40" s="1"/>
      <c r="J40" s="4"/>
      <c r="K40" s="4"/>
      <c r="L40" s="4"/>
    </row>
    <row r="41" spans="1:12" ht="20.25">
      <c r="A41" s="1" t="s">
        <v>41</v>
      </c>
      <c r="B41" s="1"/>
      <c r="C41" s="1"/>
      <c r="D41" s="1">
        <f>ROUND(100*32/34,2)</f>
        <v>94.12</v>
      </c>
      <c r="E41" s="1"/>
      <c r="F41" s="1">
        <f>ROUND(D41*F36/100,0)</f>
        <v>494</v>
      </c>
      <c r="G41" s="1"/>
      <c r="H41" s="1"/>
      <c r="I41" s="1"/>
      <c r="J41" s="4"/>
      <c r="K41" s="4"/>
      <c r="L41" s="4"/>
    </row>
    <row r="42" spans="1:12" ht="18.75">
      <c r="A42" s="1" t="s">
        <v>15</v>
      </c>
      <c r="B42" s="1"/>
      <c r="C42" s="1"/>
      <c r="D42" s="1">
        <f>ROUND(0.260112*E25,2)</f>
        <v>0.78</v>
      </c>
      <c r="E42" s="1"/>
      <c r="F42" s="1">
        <f>ROUND(D42*F34/100,0)</f>
        <v>128</v>
      </c>
      <c r="G42" s="1"/>
      <c r="H42" s="1"/>
      <c r="I42" s="1"/>
      <c r="J42" s="4"/>
      <c r="K42" s="4"/>
      <c r="L42" s="4"/>
    </row>
    <row r="43" spans="1:12" ht="18.75">
      <c r="A43" s="1" t="s">
        <v>16</v>
      </c>
      <c r="B43" s="1"/>
      <c r="C43" s="1"/>
      <c r="D43" s="1">
        <f>ROUND(0.539924*E25,2)</f>
        <v>1.62</v>
      </c>
      <c r="E43" s="1"/>
      <c r="F43" s="1">
        <f>ROUND(D43*F37/100,2)</f>
        <v>746.17</v>
      </c>
      <c r="G43" s="1"/>
      <c r="H43" s="1"/>
      <c r="I43" s="1"/>
      <c r="J43" s="4"/>
      <c r="K43" s="4"/>
      <c r="L43" s="4"/>
    </row>
    <row r="44" spans="1:12" ht="18.75">
      <c r="A44" s="1" t="s">
        <v>17</v>
      </c>
      <c r="B44" s="1"/>
      <c r="C44" s="1"/>
      <c r="D44" s="1">
        <f>100-D42-D43-D41</f>
        <v>3.4799999999999898</v>
      </c>
      <c r="E44" s="1"/>
      <c r="F44" s="1">
        <f>ROUND(D44*F35/100,2)</f>
        <v>9765.92</v>
      </c>
      <c r="G44" s="1"/>
      <c r="H44" s="1"/>
      <c r="I44" s="1"/>
      <c r="J44" s="4"/>
      <c r="K44" s="4"/>
      <c r="L44" s="4"/>
    </row>
    <row r="45" spans="1:12" ht="18.75">
      <c r="A45" s="1"/>
      <c r="B45" s="1"/>
      <c r="C45" s="1"/>
      <c r="D45" s="1"/>
      <c r="E45" s="1"/>
      <c r="F45" s="1">
        <f>SUM(F41:F44)</f>
        <v>11134.09</v>
      </c>
      <c r="G45" s="1"/>
      <c r="H45" s="1"/>
      <c r="I45" s="1"/>
      <c r="J45" s="4"/>
      <c r="K45" s="4"/>
      <c r="L45" s="4"/>
    </row>
    <row r="46" spans="1:12" ht="18.75">
      <c r="A46" s="1"/>
      <c r="B46" s="1"/>
      <c r="C46" s="1"/>
      <c r="D46" s="1"/>
      <c r="E46" s="1"/>
      <c r="F46" s="1"/>
      <c r="G46" s="1"/>
      <c r="H46" s="1"/>
      <c r="I46" s="1"/>
      <c r="J46" s="4"/>
      <c r="K46" s="4"/>
      <c r="L46" s="4"/>
    </row>
    <row r="47" spans="1:12" ht="18.75">
      <c r="A47" s="1"/>
      <c r="B47" s="1"/>
      <c r="C47" s="1"/>
      <c r="D47" s="1"/>
      <c r="E47" s="1"/>
      <c r="F47" s="1"/>
      <c r="G47" s="1"/>
      <c r="H47" s="1"/>
      <c r="I47" s="1"/>
      <c r="J47" s="4"/>
      <c r="K47" s="4"/>
      <c r="L47" s="4"/>
    </row>
    <row r="48" spans="1:12" ht="18.75">
      <c r="A48" s="1" t="s">
        <v>18</v>
      </c>
      <c r="B48" s="1"/>
      <c r="C48" s="1"/>
      <c r="D48" s="1"/>
      <c r="E48" s="1"/>
      <c r="F48" s="1"/>
      <c r="G48" s="1"/>
      <c r="H48" s="1"/>
      <c r="I48" s="1"/>
      <c r="J48" s="4"/>
      <c r="K48" s="4"/>
      <c r="L48" s="4"/>
    </row>
    <row r="49" spans="1:12" ht="18.75">
      <c r="A49" s="1"/>
      <c r="B49" s="1"/>
      <c r="C49" s="3"/>
      <c r="D49" s="3" t="s">
        <v>19</v>
      </c>
      <c r="E49" s="3" t="s">
        <v>20</v>
      </c>
      <c r="F49" s="1"/>
      <c r="G49" s="1"/>
      <c r="H49" s="1"/>
      <c r="I49" s="1"/>
      <c r="J49" s="4"/>
      <c r="K49" s="4"/>
      <c r="L49" s="4"/>
    </row>
    <row r="50" spans="1:12" ht="18.75">
      <c r="A50" s="1" t="s">
        <v>12</v>
      </c>
      <c r="B50" s="1"/>
      <c r="C50" s="3"/>
      <c r="D50" s="3">
        <f>ROUND(-0.26215*E27+0.315121*E26+56.83723,1)</f>
        <v>57.9</v>
      </c>
      <c r="E50" s="3">
        <f>ROUND(141.5/(D50+131.5),2)</f>
        <v>0.75</v>
      </c>
      <c r="F50" s="1"/>
      <c r="G50" s="1"/>
      <c r="H50" s="1"/>
      <c r="I50" s="1"/>
      <c r="J50" s="4"/>
      <c r="K50" s="4"/>
      <c r="L50" s="4"/>
    </row>
    <row r="51" spans="1:12" ht="18.75">
      <c r="A51" s="1" t="s">
        <v>5</v>
      </c>
      <c r="B51" s="1"/>
      <c r="C51" s="3"/>
      <c r="D51" s="3">
        <f>ROUND(-0.0529219*E27+0.52228042*E26+12.9318914,1)</f>
        <v>17.100000000000001</v>
      </c>
      <c r="E51" s="3">
        <f t="shared" ref="E51:E52" si="0">ROUND(141.5/(D51+131.5),2)</f>
        <v>0.95</v>
      </c>
      <c r="F51" s="1"/>
      <c r="G51" s="1"/>
      <c r="H51" s="1"/>
      <c r="I51" s="1"/>
      <c r="J51" s="4"/>
      <c r="K51" s="4"/>
      <c r="L51" s="4"/>
    </row>
    <row r="52" spans="1:12" ht="18.75">
      <c r="A52" s="1" t="s">
        <v>21</v>
      </c>
      <c r="B52" s="1"/>
      <c r="C52" s="3"/>
      <c r="D52" s="3">
        <f>ROUND(-0.7462183*E27+1.29131825*E26-2.6831388,1)</f>
        <v>3.8</v>
      </c>
      <c r="E52" s="3">
        <f t="shared" si="0"/>
        <v>1.05</v>
      </c>
      <c r="F52" s="1"/>
      <c r="G52" s="1"/>
      <c r="H52" s="1"/>
      <c r="I52" s="1"/>
      <c r="J52" s="4"/>
      <c r="K52" s="4"/>
      <c r="L52" s="4"/>
    </row>
    <row r="53" spans="1:12" ht="18.7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65" spans="4:12">
      <c r="D65" s="2"/>
      <c r="E65" s="2"/>
      <c r="F65" s="2"/>
      <c r="G65" s="2"/>
      <c r="H65" s="2"/>
      <c r="I65" s="2"/>
      <c r="J65" s="2"/>
      <c r="K65" s="2"/>
      <c r="L65" s="2"/>
    </row>
    <row r="66" spans="4:12">
      <c r="D66" s="2"/>
      <c r="E66" s="2"/>
      <c r="F66" s="2"/>
      <c r="G66" s="2"/>
      <c r="H66" s="2"/>
      <c r="I66" s="2"/>
      <c r="J66" s="2"/>
      <c r="K66" s="2"/>
      <c r="L66" s="2"/>
    </row>
    <row r="67" spans="4:12">
      <c r="D67" s="2"/>
      <c r="E67" s="2"/>
      <c r="F67" s="2"/>
      <c r="G67" s="2"/>
      <c r="H67" s="2"/>
      <c r="I67" s="2"/>
      <c r="J67" s="2"/>
      <c r="K67" s="2"/>
      <c r="L67" s="2"/>
    </row>
    <row r="68" spans="4:12">
      <c r="D68" s="2"/>
      <c r="E68" s="2"/>
      <c r="F68" s="2"/>
      <c r="G68" s="2"/>
      <c r="H68" s="2"/>
      <c r="I68" s="2"/>
      <c r="J68" s="2"/>
      <c r="K68" s="2"/>
      <c r="L68" s="2"/>
    </row>
    <row r="69" spans="4:12">
      <c r="D69" s="2"/>
      <c r="E69" s="2"/>
      <c r="F69" s="2"/>
      <c r="G69" s="2"/>
      <c r="H69" s="2"/>
      <c r="I69" s="2"/>
      <c r="J69" s="2"/>
      <c r="K69" s="2"/>
      <c r="L69" s="2"/>
    </row>
    <row r="70" spans="4:12">
      <c r="D70" s="2"/>
      <c r="E70" s="2"/>
      <c r="F70" s="2"/>
      <c r="G70" s="2"/>
      <c r="H70" s="2"/>
      <c r="I70" s="2"/>
      <c r="J70" s="2"/>
      <c r="K70" s="2"/>
      <c r="L70" s="2"/>
    </row>
  </sheetData>
  <pageMargins left="0.7" right="0.7" top="0.75" bottom="0.75" header="0.3" footer="0.3"/>
  <pageSetup paperSize="9" orientation="portrait" r:id="rId1"/>
  <legacyDrawing r:id="rId2"/>
  <oleObjects>
    <oleObject progId="Visio.Drawing.11" shapeId="1027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M53"/>
  <sheetViews>
    <sheetView tabSelected="1" topLeftCell="A37" zoomScale="150" zoomScaleNormal="150" workbookViewId="0">
      <selection activeCell="H27" sqref="H27:J27"/>
    </sheetView>
  </sheetViews>
  <sheetFormatPr defaultRowHeight="15"/>
  <cols>
    <col min="4" max="4" width="13.5703125" customWidth="1"/>
    <col min="5" max="5" width="18.42578125" customWidth="1"/>
    <col min="6" max="6" width="9.85546875" bestFit="1" customWidth="1"/>
  </cols>
  <sheetData>
    <row r="1" spans="1:13" ht="18.7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>
      <c r="A3" s="1" t="s">
        <v>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8.75">
      <c r="A6" s="1" t="s">
        <v>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2.5">
      <c r="A7" s="1" t="s">
        <v>27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0.25">
      <c r="A8" s="1" t="s">
        <v>28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>
      <c r="A9" s="1" t="s">
        <v>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8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8.75">
      <c r="A11" s="1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0.25">
      <c r="A12" s="1" t="s">
        <v>30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0.25">
      <c r="A13" s="1" t="s">
        <v>31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0.25">
      <c r="A14" s="1" t="s">
        <v>32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0.25">
      <c r="A15" s="1" t="s">
        <v>33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8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8.75">
      <c r="A17" s="1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0.25">
      <c r="A18" s="1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0.25">
      <c r="A19" s="1" t="s">
        <v>35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0.25">
      <c r="A20" s="1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8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8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8.75">
      <c r="A23" s="1"/>
      <c r="B23" s="1"/>
      <c r="C23" s="1"/>
      <c r="D23" s="1"/>
      <c r="E23" s="1" t="s">
        <v>0</v>
      </c>
      <c r="F23" s="1">
        <v>200000</v>
      </c>
      <c r="G23" s="1" t="s">
        <v>3</v>
      </c>
      <c r="H23" s="1"/>
      <c r="I23" s="1"/>
      <c r="J23" s="1"/>
      <c r="K23" s="1"/>
      <c r="L23" s="1"/>
      <c r="M23" s="1"/>
    </row>
    <row r="24" spans="1:13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20.25">
      <c r="A25" s="1"/>
      <c r="B25" s="1" t="s">
        <v>43</v>
      </c>
      <c r="C25" s="1"/>
      <c r="D25" s="1" t="s">
        <v>37</v>
      </c>
      <c r="E25" s="1">
        <v>3</v>
      </c>
      <c r="F25" s="1" t="s">
        <v>1</v>
      </c>
      <c r="G25" s="1"/>
      <c r="H25" s="1" t="s">
        <v>38</v>
      </c>
      <c r="I25" s="1"/>
      <c r="J25" s="1"/>
      <c r="K25" s="1"/>
      <c r="L25" s="1"/>
      <c r="M25" s="1"/>
    </row>
    <row r="26" spans="1:13" ht="20.25">
      <c r="A26" s="1"/>
      <c r="B26" s="1"/>
      <c r="C26" s="1"/>
      <c r="D26" s="1" t="s">
        <v>39</v>
      </c>
      <c r="E26" s="1">
        <v>8.5</v>
      </c>
      <c r="F26" s="1"/>
      <c r="G26" s="1"/>
      <c r="H26" s="1" t="s">
        <v>40</v>
      </c>
      <c r="I26" s="1"/>
      <c r="J26" s="1"/>
      <c r="K26" s="1"/>
      <c r="L26" s="1"/>
      <c r="M26" s="1"/>
    </row>
    <row r="27" spans="1:13" ht="18.75">
      <c r="A27" s="1"/>
      <c r="B27" s="1"/>
      <c r="C27" s="1"/>
      <c r="D27" s="1" t="s">
        <v>44</v>
      </c>
      <c r="E27" s="1">
        <v>6</v>
      </c>
      <c r="F27" s="1" t="s">
        <v>1</v>
      </c>
      <c r="G27" s="1"/>
      <c r="H27" s="1" t="s">
        <v>44</v>
      </c>
      <c r="I27" s="1" t="s">
        <v>45</v>
      </c>
      <c r="J27" s="1"/>
      <c r="K27" s="1"/>
      <c r="L27" s="1"/>
      <c r="M27" s="1"/>
    </row>
    <row r="28" spans="1:13" ht="18.75">
      <c r="A28" s="1"/>
      <c r="B28" s="1"/>
      <c r="C28" s="1"/>
      <c r="D28" s="1" t="s">
        <v>6</v>
      </c>
      <c r="E28" s="1" t="s">
        <v>24</v>
      </c>
      <c r="F28" s="1">
        <f>E25*F23/100</f>
        <v>6000</v>
      </c>
      <c r="G28" s="1" t="s">
        <v>3</v>
      </c>
      <c r="H28" s="1"/>
      <c r="I28" s="1"/>
      <c r="J28" s="1"/>
      <c r="K28" s="1"/>
      <c r="L28" s="1"/>
      <c r="M28" s="1"/>
    </row>
    <row r="29" spans="1:13" ht="18.75">
      <c r="A29" s="1"/>
      <c r="B29" s="1"/>
      <c r="C29" s="1"/>
      <c r="D29" s="1"/>
      <c r="E29" s="1" t="s">
        <v>25</v>
      </c>
      <c r="F29" s="1"/>
      <c r="G29" s="1"/>
      <c r="H29" s="1"/>
      <c r="I29" s="1"/>
      <c r="J29" s="1"/>
      <c r="K29" s="1"/>
      <c r="L29" s="1"/>
      <c r="M29" s="1"/>
    </row>
    <row r="30" spans="1:13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8.75">
      <c r="A31" s="1" t="s">
        <v>2</v>
      </c>
      <c r="B31" s="1"/>
      <c r="C31" s="1"/>
      <c r="D31" s="3" t="s">
        <v>1</v>
      </c>
      <c r="E31" s="1"/>
      <c r="F31" s="3" t="s">
        <v>3</v>
      </c>
      <c r="G31" s="1"/>
      <c r="H31" s="1"/>
      <c r="I31" s="1"/>
      <c r="J31" s="1"/>
      <c r="K31" s="1"/>
      <c r="L31" s="1"/>
      <c r="M31" s="1"/>
    </row>
    <row r="32" spans="1:13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8.75">
      <c r="A33" s="1" t="s">
        <v>4</v>
      </c>
      <c r="B33" s="1"/>
      <c r="C33" s="1"/>
      <c r="D33" s="1">
        <f>ROUND(0.189825*(E27)+0.677163,2)</f>
        <v>1.82</v>
      </c>
      <c r="E33" s="1"/>
      <c r="F33" s="1">
        <f>D33*F23/100</f>
        <v>3640</v>
      </c>
      <c r="G33" s="1"/>
      <c r="H33" s="1"/>
      <c r="I33" s="1"/>
      <c r="J33" s="1"/>
      <c r="K33" s="1"/>
      <c r="L33" s="1"/>
      <c r="M33" s="1"/>
    </row>
    <row r="34" spans="1:13" ht="18.75">
      <c r="A34" s="1" t="s">
        <v>12</v>
      </c>
      <c r="B34" s="1"/>
      <c r="C34" s="1"/>
      <c r="D34" s="1">
        <f>ROUND(0.738321*E27+0.260174,2)</f>
        <v>4.6900000000000004</v>
      </c>
      <c r="E34" s="1"/>
      <c r="F34" s="1">
        <f>D34*F23/100</f>
        <v>9380.0000000000018</v>
      </c>
      <c r="G34" s="1"/>
      <c r="H34" s="1"/>
      <c r="I34" s="1"/>
      <c r="J34" s="1"/>
      <c r="K34" s="1"/>
      <c r="L34" s="1"/>
      <c r="M34" s="1"/>
    </row>
    <row r="35" spans="1:13" ht="18.75">
      <c r="A35" s="1" t="s">
        <v>13</v>
      </c>
      <c r="B35" s="1"/>
      <c r="C35" s="1"/>
      <c r="D35" s="1">
        <f>ROUND(-0.146668*E27^2-2.203644*E27+98.677947,2)</f>
        <v>80.180000000000007</v>
      </c>
      <c r="E35" s="1"/>
      <c r="F35" s="1">
        <f>D35*F23/100</f>
        <v>160360.00000000003</v>
      </c>
      <c r="G35" s="1"/>
      <c r="H35" s="1"/>
      <c r="I35" s="1"/>
      <c r="J35" s="1"/>
      <c r="K35" s="1"/>
      <c r="L35" s="1"/>
      <c r="M35" s="1"/>
    </row>
    <row r="36" spans="1:13" ht="20.25">
      <c r="A36" s="1" t="s">
        <v>42</v>
      </c>
      <c r="B36" s="1"/>
      <c r="C36" s="1"/>
      <c r="D36" s="1">
        <f>ROUND(0.02023*E27+0.06043*E25-0.156,2)</f>
        <v>0.15</v>
      </c>
      <c r="E36" s="1"/>
      <c r="F36" s="1">
        <f>D36*F23/100</f>
        <v>300</v>
      </c>
      <c r="G36" s="1"/>
      <c r="H36" s="1"/>
      <c r="I36" s="1"/>
      <c r="J36" s="1"/>
      <c r="K36" s="1"/>
      <c r="L36" s="1"/>
      <c r="M36" s="1"/>
    </row>
    <row r="37" spans="1:13" ht="18.75">
      <c r="A37" s="1" t="s">
        <v>5</v>
      </c>
      <c r="B37" s="1"/>
      <c r="C37" s="1"/>
      <c r="D37" s="1">
        <f>100-D33-D34-D35-D36</f>
        <v>13.160000000000002</v>
      </c>
      <c r="E37" s="1"/>
      <c r="F37" s="1">
        <f>D37*F23/100</f>
        <v>26320.000000000004</v>
      </c>
      <c r="G37" s="1"/>
      <c r="H37" s="1"/>
      <c r="I37" s="1"/>
      <c r="J37" s="1"/>
      <c r="K37" s="1"/>
      <c r="L37" s="1"/>
      <c r="M37" s="1"/>
    </row>
    <row r="38" spans="1:13" ht="18.75">
      <c r="A38" s="1"/>
      <c r="B38" s="1"/>
      <c r="C38" s="1"/>
      <c r="D38" s="1">
        <f>SUM(D34:E37)</f>
        <v>98.18</v>
      </c>
      <c r="E38" s="1"/>
      <c r="F38" s="1">
        <f>SUM(F33:F37)</f>
        <v>200000.00000000003</v>
      </c>
      <c r="G38" s="1"/>
      <c r="H38" s="1"/>
      <c r="I38" s="1"/>
      <c r="J38" s="1"/>
      <c r="K38" s="1"/>
      <c r="L38" s="1"/>
      <c r="M38" s="1"/>
    </row>
    <row r="39" spans="1:13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8.75">
      <c r="A40" s="1" t="s">
        <v>14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20.25">
      <c r="A41" s="1" t="s">
        <v>41</v>
      </c>
      <c r="B41" s="1"/>
      <c r="C41" s="1"/>
      <c r="D41" s="1">
        <f>ROUND(100*32/34,2)</f>
        <v>94.12</v>
      </c>
      <c r="E41" s="1"/>
      <c r="F41" s="1">
        <f>ROUND(D41*F36/100,0)</f>
        <v>282</v>
      </c>
      <c r="G41" s="1"/>
      <c r="H41" s="1"/>
      <c r="I41" s="1"/>
      <c r="J41" s="1"/>
      <c r="K41" s="1"/>
      <c r="L41" s="1"/>
      <c r="M41" s="1"/>
    </row>
    <row r="42" spans="1:13" ht="18.75">
      <c r="A42" s="1" t="s">
        <v>15</v>
      </c>
      <c r="B42" s="1"/>
      <c r="C42" s="1"/>
      <c r="D42" s="1">
        <f>ROUND(0.260112*E25,2)</f>
        <v>0.78</v>
      </c>
      <c r="E42" s="1"/>
      <c r="F42" s="1">
        <f>ROUND(D42*F34/100,0)</f>
        <v>73</v>
      </c>
      <c r="G42" s="1"/>
      <c r="H42" s="1"/>
      <c r="I42" s="1"/>
      <c r="J42" s="1"/>
      <c r="K42" s="1"/>
      <c r="L42" s="1"/>
      <c r="M42" s="1"/>
    </row>
    <row r="43" spans="1:13" ht="18.75">
      <c r="A43" s="1" t="s">
        <v>16</v>
      </c>
      <c r="B43" s="1"/>
      <c r="C43" s="1"/>
      <c r="D43" s="1">
        <f>ROUND(0.539924*E25,2)</f>
        <v>1.62</v>
      </c>
      <c r="E43" s="1"/>
      <c r="F43" s="1">
        <f>ROUND(D43*F37/100,2)</f>
        <v>426.38</v>
      </c>
      <c r="G43" s="1"/>
      <c r="H43" s="1"/>
      <c r="I43" s="1"/>
      <c r="J43" s="1"/>
      <c r="K43" s="1"/>
      <c r="L43" s="1"/>
      <c r="M43" s="1"/>
    </row>
    <row r="44" spans="1:13" ht="18.75">
      <c r="A44" s="1" t="s">
        <v>17</v>
      </c>
      <c r="B44" s="1"/>
      <c r="C44" s="1"/>
      <c r="D44" s="1">
        <f>100-D42-D43-D41</f>
        <v>3.4799999999999898</v>
      </c>
      <c r="E44" s="1"/>
      <c r="F44" s="1">
        <f>ROUND(D44*F35/100,2)</f>
        <v>5580.53</v>
      </c>
      <c r="G44" s="1"/>
      <c r="H44" s="1"/>
      <c r="I44" s="1"/>
      <c r="J44" s="1"/>
      <c r="K44" s="1"/>
      <c r="L44" s="1"/>
      <c r="M44" s="1"/>
    </row>
    <row r="45" spans="1:13" ht="18.75">
      <c r="A45" s="1"/>
      <c r="B45" s="1"/>
      <c r="C45" s="1"/>
      <c r="D45" s="1"/>
      <c r="E45" s="1"/>
      <c r="F45" s="1">
        <f>SUM(F41:F44)</f>
        <v>6361.91</v>
      </c>
      <c r="G45" s="1"/>
      <c r="H45" s="1"/>
      <c r="I45" s="1"/>
      <c r="J45" s="1"/>
      <c r="K45" s="1"/>
      <c r="L45" s="1"/>
      <c r="M45" s="1"/>
    </row>
    <row r="46" spans="1:13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8.75">
      <c r="A48" s="1" t="s">
        <v>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8.75">
      <c r="A49" s="1"/>
      <c r="B49" s="1"/>
      <c r="C49" s="3"/>
      <c r="D49" s="3" t="s">
        <v>19</v>
      </c>
      <c r="E49" s="3" t="s">
        <v>20</v>
      </c>
      <c r="F49" s="1"/>
      <c r="G49" s="1"/>
      <c r="H49" s="1"/>
      <c r="I49" s="1"/>
      <c r="J49" s="1"/>
      <c r="K49" s="1"/>
      <c r="L49" s="1"/>
      <c r="M49" s="1"/>
    </row>
    <row r="50" spans="1:13" ht="18.75">
      <c r="A50" s="1" t="s">
        <v>12</v>
      </c>
      <c r="B50" s="1"/>
      <c r="C50" s="3"/>
      <c r="D50" s="3">
        <f>ROUND(-0.26215*E27+0.315121*E26+56.83723,1)</f>
        <v>57.9</v>
      </c>
      <c r="E50" s="3">
        <f>ROUND(141.5/(D50+131.5),2)</f>
        <v>0.75</v>
      </c>
      <c r="F50" s="1"/>
      <c r="G50" s="1"/>
      <c r="H50" s="1"/>
      <c r="I50" s="1"/>
      <c r="J50" s="1"/>
      <c r="K50" s="1"/>
      <c r="L50" s="1"/>
      <c r="M50" s="1"/>
    </row>
    <row r="51" spans="1:13" ht="18.75">
      <c r="A51" s="1" t="s">
        <v>5</v>
      </c>
      <c r="B51" s="1"/>
      <c r="C51" s="3"/>
      <c r="D51" s="3">
        <f>ROUND(-0.0529219*E27+0.52228042*E26+12.9318914,1)</f>
        <v>17.100000000000001</v>
      </c>
      <c r="E51" s="3">
        <f t="shared" ref="E51:E52" si="0">ROUND(141.5/(D51+131.5),2)</f>
        <v>0.95</v>
      </c>
      <c r="F51" s="1"/>
      <c r="G51" s="1"/>
      <c r="H51" s="1"/>
      <c r="I51" s="1"/>
      <c r="J51" s="1"/>
      <c r="K51" s="1"/>
      <c r="L51" s="1"/>
      <c r="M51" s="1"/>
    </row>
    <row r="52" spans="1:13" ht="18.75">
      <c r="A52" s="1" t="s">
        <v>21</v>
      </c>
      <c r="B52" s="1"/>
      <c r="C52" s="3"/>
      <c r="D52" s="3">
        <f>ROUND(-0.7462183*E27+1.29131825*E26-2.6831388,1)</f>
        <v>3.8</v>
      </c>
      <c r="E52" s="3">
        <f t="shared" si="0"/>
        <v>1.05</v>
      </c>
      <c r="F52" s="1"/>
      <c r="G52" s="1"/>
      <c r="H52" s="1"/>
      <c r="I52" s="1"/>
      <c r="J52" s="1"/>
      <c r="K52" s="1"/>
      <c r="L52" s="1"/>
      <c r="M52" s="1"/>
    </row>
    <row r="53" spans="1:13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pageMargins left="0.7" right="0.7" top="0.75" bottom="0.75" header="0.3" footer="0.3"/>
  <pageSetup paperSize="9" orientation="portrait" r:id="rId1"/>
  <legacyDrawing r:id="rId2"/>
  <oleObjects>
    <oleObject progId="Visio.Drawing.11" shapeId="2049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6-3</vt:lpstr>
      <vt:lpstr>Example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A.K. Coker</dc:creator>
  <cp:lastModifiedBy>A.K. Coker</cp:lastModifiedBy>
  <cp:lastPrinted>2016-11-22T10:39:02Z</cp:lastPrinted>
  <dcterms:created xsi:type="dcterms:W3CDTF">2016-11-18T23:09:36Z</dcterms:created>
  <dcterms:modified xsi:type="dcterms:W3CDTF">2016-11-27T18:00:10Z</dcterms:modified>
</cp:coreProperties>
</file>